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" sheetId="5" r:id="rId5"/>
  </sheets>
  <definedNames>
    <definedName name="_xlnm.Print_Area" localSheetId="4">'січень'!$A$1:$R$87</definedName>
  </definedNames>
  <calcPr fullCalcOnLoad="1"/>
</workbook>
</file>

<file path=xl/sharedStrings.xml><?xml version="1.0" encoding="utf-8"?>
<sst xmlns="http://schemas.openxmlformats.org/spreadsheetml/2006/main" count="628" uniqueCount="157">
  <si>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</si>
  <si>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</si>
  <si>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</si>
  <si>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</si>
  <si>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</si>
  <si>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</si>
  <si>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</si>
  <si>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</si>
  <si>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</si>
  <si>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</si>
  <si>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</si>
  <si>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</si>
  <si>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</si>
  <si>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</si>
  <si>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</si>
  <si>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</si>
  <si>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</si>
  <si>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</si>
  <si>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</si>
  <si>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</si>
  <si>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</si>
  <si>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</si>
  <si>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</si>
  <si>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</si>
  <si>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</si>
  <si>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</si>
  <si>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</si>
  <si>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</si>
  <si>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</si>
  <si>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</si>
  <si>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</si>
  <si>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</si>
  <si>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</si>
  <si>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</si>
  <si>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</si>
  <si>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</si>
  <si>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</si>
  <si>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</si>
  <si>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</si>
  <si>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</si>
  <si>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</si>
  <si>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</si>
  <si>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</si>
  <si>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</si>
  <si>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</si>
  <si>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</si>
  <si>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</si>
  <si>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</si>
  <si>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</si>
  <si>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</si>
  <si>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</si>
  <si>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</si>
  <si>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</si>
  <si>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</si>
  <si>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</si>
  <si>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</si>
  <si>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</si>
  <si>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</si>
  <si>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</si>
  <si>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</si>
  <si>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</si>
  <si>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</si>
  <si>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</si>
  <si>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</si>
  <si>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</si>
  <si>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</si>
  <si>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</si>
  <si>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</si>
  <si>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</si>
  <si>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</si>
  <si>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</si>
  <si>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</si>
  <si>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</si>
  <si>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</si>
  <si>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</si>
  <si>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</si>
  <si>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</si>
  <si>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</si>
  <si>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</si>
  <si>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</si>
  <si>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</si>
  <si>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</si>
  <si>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</si>
  <si>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</si>
  <si>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</si>
  <si>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</si>
  <si>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</si>
  <si>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</si>
  <si>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</si>
  <si>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</si>
  <si>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</si>
  <si>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</si>
  <si>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</si>
  <si>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</si>
  <si>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</si>
  <si>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</si>
  <si>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</si>
  <si>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</si>
  <si>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</si>
  <si>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</si>
  <si>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</si>
  <si>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</si>
  <si>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</si>
  <si>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</si>
  <si>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</si>
  <si>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</si>
  <si>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</si>
  <si>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</si>
  <si>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</si>
  <si>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</si>
  <si>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</si>
  <si>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</si>
  <si>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</si>
  <si>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</si>
  <si>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</si>
  <si>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</si>
  <si>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</si>
  <si>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</si>
  <si>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</si>
  <si>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</si>
  <si>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</si>
  <si>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</si>
  <si>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</si>
  <si>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</si>
  <si>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</si>
  <si>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</si>
  <si>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</si>
  <si>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</si>
  <si>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</si>
  <si>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</si>
  <si>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</si>
  <si>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</si>
  <si>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</si>
  <si>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</si>
  <si>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</si>
  <si>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</si>
  <si>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</si>
  <si>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</si>
  <si>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</si>
  <si>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</si>
  <si>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</si>
  <si>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</si>
  <si>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</si>
  <si>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</si>
  <si>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</si>
  <si>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</si>
  <si>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</si>
  <si>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</si>
  <si>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</si>
  <si>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</si>
  <si>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</si>
  <si>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</si>
  <si>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</si>
  <si>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</si>
  <si>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</si>
  <si>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07.04.2016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</si>
  <si>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06.04.16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</si>
</sst>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8" zoomScaleNormal="88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89" t="s">
        <v>155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92"/>
      <c r="R1" s="93"/>
    </row>
    <row r="2" spans="2:18" s="1" customFormat="1" ht="15.75" customHeight="1">
      <c r="B2" s="190"/>
      <c r="C2" s="190"/>
      <c r="D2" s="19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1"/>
      <c r="B3" s="193"/>
      <c r="C3" s="194" t="s">
        <v>0</v>
      </c>
      <c r="D3" s="195" t="s">
        <v>121</v>
      </c>
      <c r="E3" s="34"/>
      <c r="F3" s="196" t="s">
        <v>26</v>
      </c>
      <c r="G3" s="197"/>
      <c r="H3" s="197"/>
      <c r="I3" s="197"/>
      <c r="J3" s="198"/>
      <c r="K3" s="89"/>
      <c r="L3" s="89"/>
      <c r="M3" s="199" t="s">
        <v>153</v>
      </c>
      <c r="N3" s="202" t="s">
        <v>154</v>
      </c>
      <c r="O3" s="202"/>
      <c r="P3" s="202"/>
      <c r="Q3" s="202"/>
      <c r="R3" s="202"/>
    </row>
    <row r="4" spans="1:18" ht="22.5" customHeight="1">
      <c r="A4" s="191"/>
      <c r="B4" s="193"/>
      <c r="C4" s="194"/>
      <c r="D4" s="195"/>
      <c r="E4" s="203" t="s">
        <v>150</v>
      </c>
      <c r="F4" s="205" t="s">
        <v>34</v>
      </c>
      <c r="G4" s="207" t="s">
        <v>151</v>
      </c>
      <c r="H4" s="200" t="s">
        <v>152</v>
      </c>
      <c r="I4" s="207" t="s">
        <v>122</v>
      </c>
      <c r="J4" s="200" t="s">
        <v>123</v>
      </c>
      <c r="K4" s="91" t="s">
        <v>65</v>
      </c>
      <c r="L4" s="96" t="s">
        <v>64</v>
      </c>
      <c r="M4" s="200"/>
      <c r="N4" s="209" t="s">
        <v>156</v>
      </c>
      <c r="O4" s="207" t="s">
        <v>50</v>
      </c>
      <c r="P4" s="211" t="s">
        <v>49</v>
      </c>
      <c r="Q4" s="97" t="s">
        <v>65</v>
      </c>
      <c r="R4" s="98" t="s">
        <v>64</v>
      </c>
    </row>
    <row r="5" spans="1:18" ht="78.75" customHeight="1">
      <c r="A5" s="192"/>
      <c r="B5" s="193"/>
      <c r="C5" s="194"/>
      <c r="D5" s="195"/>
      <c r="E5" s="204"/>
      <c r="F5" s="206"/>
      <c r="G5" s="208"/>
      <c r="H5" s="201"/>
      <c r="I5" s="208"/>
      <c r="J5" s="201"/>
      <c r="K5" s="212" t="s">
        <v>144</v>
      </c>
      <c r="L5" s="213"/>
      <c r="M5" s="201"/>
      <c r="N5" s="210"/>
      <c r="O5" s="208"/>
      <c r="P5" s="211"/>
      <c r="Q5" s="212" t="s">
        <v>120</v>
      </c>
      <c r="R5" s="2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271674.68</v>
      </c>
      <c r="F8" s="15">
        <f>F9+F15+F18+F19+F20+F32+F17</f>
        <v>219077.24</v>
      </c>
      <c r="G8" s="15">
        <f aca="true" t="shared" si="0" ref="G8:G21">F8-E8</f>
        <v>-52597.44</v>
      </c>
      <c r="H8" s="38">
        <f>F8/E8*100</f>
        <v>80.63955021498506</v>
      </c>
      <c r="I8" s="28">
        <f>F8-D8</f>
        <v>-621972.76</v>
      </c>
      <c r="J8" s="28">
        <f>F8/D8*100</f>
        <v>26.048063729861482</v>
      </c>
      <c r="K8" s="15">
        <f>F8-139482.78</f>
        <v>79594.45999999999</v>
      </c>
      <c r="L8" s="15">
        <f>F8/139482.78*100</f>
        <v>157.06400460329223</v>
      </c>
      <c r="M8" s="15">
        <f>M9+M15+M18+M19+M20+M32+M17</f>
        <v>71360.49999999999</v>
      </c>
      <c r="N8" s="15">
        <f>N9+N15+N18+N19+N20+N32+N17</f>
        <v>9289.52999999998</v>
      </c>
      <c r="O8" s="15">
        <f>N8-M8</f>
        <v>-62070.97</v>
      </c>
      <c r="P8" s="15">
        <f>N8/M8*100</f>
        <v>13.01774791376179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145783.27</v>
      </c>
      <c r="F9" s="170">
        <v>119048.66</v>
      </c>
      <c r="G9" s="36">
        <f t="shared" si="0"/>
        <v>-26734.609999999986</v>
      </c>
      <c r="H9" s="32">
        <f>F9/E9*100</f>
        <v>81.66140051598514</v>
      </c>
      <c r="I9" s="42">
        <f>F9-D9</f>
        <v>-340651.33999999997</v>
      </c>
      <c r="J9" s="42">
        <f>F9/D9*100</f>
        <v>25.897032847509244</v>
      </c>
      <c r="K9" s="106">
        <f>F9-78437.5</f>
        <v>40611.16</v>
      </c>
      <c r="L9" s="106">
        <f>F9/78437.5*100</f>
        <v>151.77518406374503</v>
      </c>
      <c r="M9" s="32">
        <f>E9-березень!E9</f>
        <v>39799.999999999985</v>
      </c>
      <c r="N9" s="178">
        <f>F9-березень!F9</f>
        <v>6766.8399999999965</v>
      </c>
      <c r="O9" s="40">
        <f>N9-M9</f>
        <v>-33033.15999999999</v>
      </c>
      <c r="P9" s="42">
        <f>N9/M9*100</f>
        <v>17.002110552763817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104730.53</v>
      </c>
      <c r="G10" s="109">
        <f t="shared" si="0"/>
        <v>-26186.309999999998</v>
      </c>
      <c r="H10" s="32">
        <f aca="true" t="shared" si="1" ref="H10:H31">F10/E10*100</f>
        <v>79.99775277191232</v>
      </c>
      <c r="I10" s="110">
        <f aca="true" t="shared" si="2" ref="I10:I32">F10-D10</f>
        <v>-306709.47</v>
      </c>
      <c r="J10" s="110">
        <f aca="true" t="shared" si="3" ref="J10:J31">F10/D10*100</f>
        <v>25.45463007972001</v>
      </c>
      <c r="K10" s="112">
        <f>F10-69239.48</f>
        <v>35491.05</v>
      </c>
      <c r="L10" s="112">
        <f>F10/69239.48*100</f>
        <v>151.25840055413474</v>
      </c>
      <c r="M10" s="111">
        <f>E10-березень!E10</f>
        <v>36300</v>
      </c>
      <c r="N10" s="179">
        <f>F10-березень!F10</f>
        <v>6266.149999999994</v>
      </c>
      <c r="O10" s="112">
        <f aca="true" t="shared" si="4" ref="O10:O32">N10-M10</f>
        <v>-30033.850000000006</v>
      </c>
      <c r="P10" s="42">
        <f aca="true" t="shared" si="5" ref="P10:P25">N10/M10*100</f>
        <v>17.262121212121194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8301.84</v>
      </c>
      <c r="G11" s="109">
        <f t="shared" si="0"/>
        <v>-333.10000000000036</v>
      </c>
      <c r="H11" s="32">
        <f t="shared" si="1"/>
        <v>96.14241673943305</v>
      </c>
      <c r="I11" s="110">
        <f t="shared" si="2"/>
        <v>-14698.16</v>
      </c>
      <c r="J11" s="110">
        <f t="shared" si="3"/>
        <v>36.09495652173913</v>
      </c>
      <c r="K11" s="112">
        <f>F11-4902.53</f>
        <v>3399.3100000000004</v>
      </c>
      <c r="L11" s="112">
        <f>F11/4902.53*100</f>
        <v>169.3378724862469</v>
      </c>
      <c r="M11" s="111">
        <f>E11-березень!E11</f>
        <v>1550.000000000001</v>
      </c>
      <c r="N11" s="179">
        <f>F11-березень!F11</f>
        <v>224.73000000000047</v>
      </c>
      <c r="O11" s="112">
        <f t="shared" si="4"/>
        <v>-1325.2700000000004</v>
      </c>
      <c r="P11" s="42">
        <f t="shared" si="5"/>
        <v>14.498709677419377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2494.65</v>
      </c>
      <c r="G12" s="109">
        <f t="shared" si="0"/>
        <v>804.0400000000002</v>
      </c>
      <c r="H12" s="32">
        <f t="shared" si="1"/>
        <v>147.55916503510568</v>
      </c>
      <c r="I12" s="110">
        <f t="shared" si="2"/>
        <v>-4005.35</v>
      </c>
      <c r="J12" s="110">
        <f t="shared" si="3"/>
        <v>38.37923076923077</v>
      </c>
      <c r="K12" s="112">
        <f>F12-1215.38</f>
        <v>1279.27</v>
      </c>
      <c r="L12" s="112">
        <f>F12/1215.38*100</f>
        <v>205.25679211440044</v>
      </c>
      <c r="M12" s="111">
        <f>E12-березень!E12</f>
        <v>585</v>
      </c>
      <c r="N12" s="179">
        <f>F12-березень!F12</f>
        <v>115.18000000000029</v>
      </c>
      <c r="O12" s="112">
        <f t="shared" si="4"/>
        <v>-469.8199999999997</v>
      </c>
      <c r="P12" s="42">
        <f t="shared" si="5"/>
        <v>19.68888888888894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2331.83</v>
      </c>
      <c r="G13" s="109">
        <f t="shared" si="0"/>
        <v>-333.0100000000002</v>
      </c>
      <c r="H13" s="32">
        <f t="shared" si="1"/>
        <v>87.50356494198526</v>
      </c>
      <c r="I13" s="110">
        <f t="shared" si="2"/>
        <v>-10068.17</v>
      </c>
      <c r="J13" s="110">
        <f t="shared" si="3"/>
        <v>18.80508064516129</v>
      </c>
      <c r="K13" s="112">
        <f>F13-1220.33</f>
        <v>1111.5</v>
      </c>
      <c r="L13" s="112">
        <f>F13/1220.33*100</f>
        <v>191.08192046413674</v>
      </c>
      <c r="M13" s="111">
        <f>E13-березень!E13</f>
        <v>755.0000000000002</v>
      </c>
      <c r="N13" s="179">
        <f>F13-березень!F13</f>
        <v>-93.11000000000013</v>
      </c>
      <c r="O13" s="112">
        <f t="shared" si="4"/>
        <v>-848.1100000000004</v>
      </c>
      <c r="P13" s="42">
        <f t="shared" si="5"/>
        <v>-12.332450331125841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1189.81</v>
      </c>
      <c r="G14" s="109">
        <f t="shared" si="0"/>
        <v>-686.23</v>
      </c>
      <c r="H14" s="32">
        <f t="shared" si="1"/>
        <v>63.42135562141532</v>
      </c>
      <c r="I14" s="110">
        <f t="shared" si="2"/>
        <v>-5170.1900000000005</v>
      </c>
      <c r="J14" s="110">
        <f t="shared" si="3"/>
        <v>18.707704402515724</v>
      </c>
      <c r="K14" s="112">
        <f>F14-1859.78</f>
        <v>-669.97</v>
      </c>
      <c r="L14" s="112">
        <f>F14/1859.78*100</f>
        <v>63.97584660551247</v>
      </c>
      <c r="M14" s="111">
        <f>E14-березень!E14</f>
        <v>610</v>
      </c>
      <c r="N14" s="179">
        <f>F14-березень!F14</f>
        <v>253.89</v>
      </c>
      <c r="O14" s="112">
        <f t="shared" si="4"/>
        <v>-356.11</v>
      </c>
      <c r="P14" s="42">
        <f t="shared" si="5"/>
        <v>41.62131147540983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120</v>
      </c>
      <c r="F15" s="170">
        <v>185.06</v>
      </c>
      <c r="G15" s="36">
        <f t="shared" si="0"/>
        <v>65.06</v>
      </c>
      <c r="H15" s="32"/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E15-березень!E15</f>
        <v>10</v>
      </c>
      <c r="N15" s="178">
        <f>F15-березень!F15</f>
        <v>0</v>
      </c>
      <c r="O15" s="40">
        <f t="shared" si="4"/>
        <v>-10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E17-березень!E17</f>
        <v>0</v>
      </c>
      <c r="N17" s="178">
        <f>F17-березень!F17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E18-березень!E18</f>
        <v>0</v>
      </c>
      <c r="N18" s="178">
        <f>F18-березень!F18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28560.4</v>
      </c>
      <c r="F19" s="172">
        <v>18298.69</v>
      </c>
      <c r="G19" s="36">
        <f t="shared" si="0"/>
        <v>-10261.710000000003</v>
      </c>
      <c r="H19" s="32">
        <f t="shared" si="1"/>
        <v>64.07014607638548</v>
      </c>
      <c r="I19" s="42">
        <f t="shared" si="2"/>
        <v>-91601.31</v>
      </c>
      <c r="J19" s="42">
        <f t="shared" si="3"/>
        <v>16.650309372156507</v>
      </c>
      <c r="K19" s="185">
        <f>F19-10070.48</f>
        <v>8228.21</v>
      </c>
      <c r="L19" s="185">
        <f>F19/10070.48*100</f>
        <v>181.7062344595292</v>
      </c>
      <c r="M19" s="32">
        <f>E19-березень!E19</f>
        <v>8500</v>
      </c>
      <c r="N19" s="178">
        <f>F19-березень!F19</f>
        <v>27.799999999999272</v>
      </c>
      <c r="O19" s="40">
        <f t="shared" si="4"/>
        <v>-8472.2</v>
      </c>
      <c r="P19" s="42">
        <f t="shared" si="5"/>
        <v>0.3270588235294032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97201.01000000001</v>
      </c>
      <c r="F20" s="184">
        <f>F21+F25+F27+F26</f>
        <v>81438.98</v>
      </c>
      <c r="G20" s="36">
        <f t="shared" si="0"/>
        <v>-15762.030000000013</v>
      </c>
      <c r="H20" s="32">
        <f t="shared" si="1"/>
        <v>83.78408825175786</v>
      </c>
      <c r="I20" s="42">
        <f t="shared" si="2"/>
        <v>-189501.02000000002</v>
      </c>
      <c r="J20" s="42">
        <f t="shared" si="3"/>
        <v>30.057939027090868</v>
      </c>
      <c r="K20" s="132">
        <f>F20-49978.98</f>
        <v>31459.999999999993</v>
      </c>
      <c r="L20" s="110">
        <f>F20/49978.98*100</f>
        <v>162.94646269291607</v>
      </c>
      <c r="M20" s="32">
        <f>M21+M25+M26+M27</f>
        <v>23050.5</v>
      </c>
      <c r="N20" s="178">
        <f>F20-березень!F20</f>
        <v>2494.889999999985</v>
      </c>
      <c r="O20" s="40">
        <f t="shared" si="4"/>
        <v>-20555.610000000015</v>
      </c>
      <c r="P20" s="42">
        <f t="shared" si="5"/>
        <v>10.82358300253784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51686.26</v>
      </c>
      <c r="F21" s="173">
        <f>F22+F23+F24</f>
        <v>41433.200000000004</v>
      </c>
      <c r="G21" s="36">
        <f t="shared" si="0"/>
        <v>-10253.059999999998</v>
      </c>
      <c r="H21" s="32">
        <f t="shared" si="1"/>
        <v>80.16289048578868</v>
      </c>
      <c r="I21" s="42">
        <f t="shared" si="2"/>
        <v>-119966.79999999999</v>
      </c>
      <c r="J21" s="42">
        <f t="shared" si="3"/>
        <v>25.671127633209423</v>
      </c>
      <c r="K21" s="132">
        <f>F21-24610.26</f>
        <v>16822.940000000006</v>
      </c>
      <c r="L21" s="110">
        <f>F21/24610.26*100</f>
        <v>168.35742491139877</v>
      </c>
      <c r="M21" s="32">
        <f>M22+M23+M24</f>
        <v>14845</v>
      </c>
      <c r="N21" s="178">
        <f>F21-березень!F21</f>
        <v>1045.0900000000038</v>
      </c>
      <c r="O21" s="40">
        <f t="shared" si="4"/>
        <v>-13799.909999999996</v>
      </c>
      <c r="P21" s="42">
        <f t="shared" si="5"/>
        <v>7.040013472549705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6631.6</v>
      </c>
      <c r="F22" s="171">
        <v>4386.27</v>
      </c>
      <c r="G22" s="109">
        <f>F22-E22</f>
        <v>-2245.33</v>
      </c>
      <c r="H22" s="111">
        <f t="shared" si="1"/>
        <v>66.14195669220098</v>
      </c>
      <c r="I22" s="110">
        <f t="shared" si="2"/>
        <v>-14113.73</v>
      </c>
      <c r="J22" s="110">
        <f t="shared" si="3"/>
        <v>23.709567567567568</v>
      </c>
      <c r="K22" s="174">
        <f>F22-526.28</f>
        <v>3859.9900000000007</v>
      </c>
      <c r="L22" s="174">
        <f>F22/526.28*100</f>
        <v>833.4479744622636</v>
      </c>
      <c r="M22" s="111">
        <f>E22-березень!E22</f>
        <v>3100.0000000000005</v>
      </c>
      <c r="N22" s="179">
        <f>F22-березень!F22</f>
        <v>191.3800000000001</v>
      </c>
      <c r="O22" s="112">
        <f t="shared" si="4"/>
        <v>-2908.6200000000003</v>
      </c>
      <c r="P22" s="110">
        <f t="shared" si="5"/>
        <v>6.173548387096777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276.84</v>
      </c>
      <c r="F23" s="171">
        <v>313.88</v>
      </c>
      <c r="G23" s="109">
        <f>F23-E23</f>
        <v>37.04000000000002</v>
      </c>
      <c r="H23" s="111">
        <f t="shared" si="1"/>
        <v>113.37956942638347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E23-березень!E23</f>
        <v>74.99999999999997</v>
      </c>
      <c r="N23" s="179">
        <f>F23-березень!F23</f>
        <v>0</v>
      </c>
      <c r="O23" s="112">
        <f t="shared" si="4"/>
        <v>-74.99999999999997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44777.82</v>
      </c>
      <c r="F24" s="171">
        <v>36733.05</v>
      </c>
      <c r="G24" s="109">
        <f>F24-E24</f>
        <v>-8044.769999999997</v>
      </c>
      <c r="H24" s="111">
        <f t="shared" si="1"/>
        <v>82.03402934756538</v>
      </c>
      <c r="I24" s="110">
        <f t="shared" si="2"/>
        <v>-103366.95</v>
      </c>
      <c r="J24" s="110">
        <f t="shared" si="3"/>
        <v>26.21916488222698</v>
      </c>
      <c r="K24" s="174">
        <f>F24-24046.28</f>
        <v>12686.770000000004</v>
      </c>
      <c r="L24" s="174">
        <f>F24/24046.28*100</f>
        <v>152.75980317953548</v>
      </c>
      <c r="M24" s="111">
        <f>E24-березень!E24</f>
        <v>11670</v>
      </c>
      <c r="N24" s="179">
        <f>F24-березень!F24</f>
        <v>853.7100000000064</v>
      </c>
      <c r="O24" s="112">
        <f t="shared" si="4"/>
        <v>-10816.289999999994</v>
      </c>
      <c r="P24" s="110">
        <f t="shared" si="5"/>
        <v>7.315424164524477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19.51</v>
      </c>
      <c r="F25" s="172">
        <v>24.81</v>
      </c>
      <c r="G25" s="36">
        <f>F25-E25</f>
        <v>5.299999999999997</v>
      </c>
      <c r="H25" s="32">
        <f t="shared" si="1"/>
        <v>127.16555612506406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E25-березень!E25</f>
        <v>5.500000000000002</v>
      </c>
      <c r="N25" s="178">
        <f>F25-березень!F25</f>
        <v>0</v>
      </c>
      <c r="O25" s="40">
        <f t="shared" si="4"/>
        <v>-5.500000000000002</v>
      </c>
      <c r="P25" s="42">
        <f t="shared" si="5"/>
        <v>0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-85.13</v>
      </c>
      <c r="G26" s="36">
        <f aca="true" t="shared" si="6" ref="G26:G32">F26-E26</f>
        <v>-85.13</v>
      </c>
      <c r="H26" s="32"/>
      <c r="I26" s="42">
        <f t="shared" si="2"/>
        <v>-85.13</v>
      </c>
      <c r="J26" s="42"/>
      <c r="K26" s="132">
        <f>F26-12.89</f>
        <v>-98.02</v>
      </c>
      <c r="L26" s="132">
        <f>F26/12.89*100</f>
        <v>-660.4344453064391</v>
      </c>
      <c r="M26" s="32">
        <f>E26-березень!E26</f>
        <v>0</v>
      </c>
      <c r="N26" s="178">
        <f>F26-березень!F26</f>
        <v>-3.589999999999989</v>
      </c>
      <c r="O26" s="40">
        <f t="shared" si="4"/>
        <v>-3.589999999999989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40066.1</v>
      </c>
      <c r="G27" s="36">
        <f t="shared" si="6"/>
        <v>-5429.139999999999</v>
      </c>
      <c r="H27" s="32">
        <f t="shared" si="1"/>
        <v>88.06657575605712</v>
      </c>
      <c r="I27" s="42">
        <f t="shared" si="2"/>
        <v>-69396.9</v>
      </c>
      <c r="J27" s="42">
        <f t="shared" si="3"/>
        <v>36.60241360094278</v>
      </c>
      <c r="K27" s="106">
        <f>F27-25338.21</f>
        <v>14727.89</v>
      </c>
      <c r="L27" s="106">
        <f>F27/25338.21*100</f>
        <v>158.12521879011973</v>
      </c>
      <c r="M27" s="32">
        <f>E27-березень!E27</f>
        <v>8200</v>
      </c>
      <c r="N27" s="178">
        <f>F27-березень!F27</f>
        <v>1453.3899999999994</v>
      </c>
      <c r="O27" s="40">
        <f t="shared" si="4"/>
        <v>-6746.610000000001</v>
      </c>
      <c r="P27" s="42">
        <f>N27/M27*100</f>
        <v>17.724268292682922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E28-березень!E28</f>
        <v>0</v>
      </c>
      <c r="N28" s="179">
        <f>F28-березень!F28</f>
        <v>0</v>
      </c>
      <c r="O28" s="112">
        <f t="shared" si="4"/>
        <v>0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9986.43</v>
      </c>
      <c r="G29" s="109">
        <f t="shared" si="6"/>
        <v>-1269.539999999999</v>
      </c>
      <c r="H29" s="111">
        <f t="shared" si="1"/>
        <v>88.72118529100558</v>
      </c>
      <c r="I29" s="110">
        <f t="shared" si="2"/>
        <v>-17613.57</v>
      </c>
      <c r="J29" s="110">
        <f t="shared" si="3"/>
        <v>36.18271739130435</v>
      </c>
      <c r="K29" s="142">
        <f>F29-6631.29</f>
        <v>3355.1400000000003</v>
      </c>
      <c r="L29" s="142">
        <f>F29/6631.29*100</f>
        <v>150.59558547431948</v>
      </c>
      <c r="M29" s="111">
        <f>E29-березень!E29</f>
        <v>1900</v>
      </c>
      <c r="N29" s="179">
        <f>F29-березень!F29</f>
        <v>173.9400000000005</v>
      </c>
      <c r="O29" s="112">
        <f t="shared" si="4"/>
        <v>-1726.0599999999995</v>
      </c>
      <c r="P29" s="110">
        <f>N29/M29*100</f>
        <v>9.15473684210529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30071.82</v>
      </c>
      <c r="G30" s="109">
        <f t="shared" si="6"/>
        <v>-4164.260000000002</v>
      </c>
      <c r="H30" s="111">
        <f t="shared" si="1"/>
        <v>87.83663316594657</v>
      </c>
      <c r="I30" s="110">
        <f t="shared" si="2"/>
        <v>-51740.18</v>
      </c>
      <c r="J30" s="110">
        <f t="shared" si="3"/>
        <v>36.757223879137534</v>
      </c>
      <c r="K30" s="142">
        <f>F30-18703.62</f>
        <v>11368.2</v>
      </c>
      <c r="L30" s="142">
        <f>F30/18603.62*100</f>
        <v>161.64499167366353</v>
      </c>
      <c r="M30" s="111">
        <f>E30-березень!E30</f>
        <v>6300</v>
      </c>
      <c r="N30" s="179">
        <f>F30-березень!F30</f>
        <v>1279.4399999999987</v>
      </c>
      <c r="O30" s="112">
        <f t="shared" si="4"/>
        <v>-5020.560000000001</v>
      </c>
      <c r="P30" s="110">
        <f>N30/M30*100</f>
        <v>20.308571428571405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E31-березень!E31</f>
        <v>0</v>
      </c>
      <c r="N31" s="179">
        <f>F31-березень!F31</f>
        <v>0</v>
      </c>
      <c r="O31" s="112">
        <f t="shared" si="4"/>
        <v>0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14246.029999999999</v>
      </c>
      <c r="F33" s="15">
        <f>F34+F35+F36+F37+F38+F39+F41+F42+F43+F44+F45+F50+F51+F55-0.02</f>
        <v>14829.689999999999</v>
      </c>
      <c r="G33" s="15">
        <f>G34+G35+G36+G37+G38+G39+G41+G42+G43+G44+G45+G50+G51+G55</f>
        <v>583.6799999999995</v>
      </c>
      <c r="H33" s="38">
        <f>F33/E33*100</f>
        <v>104.09700105924247</v>
      </c>
      <c r="I33" s="28">
        <f>F33-D33</f>
        <v>-27990.31</v>
      </c>
      <c r="J33" s="28">
        <f>F33/D33*100</f>
        <v>34.632624941616065</v>
      </c>
      <c r="K33" s="15">
        <f>F33-7649.28</f>
        <v>7180.409999999999</v>
      </c>
      <c r="L33" s="15">
        <f>F33/7649.28*100</f>
        <v>193.87040348895582</v>
      </c>
      <c r="M33" s="15">
        <f>M34+M35+M36+M37+M38+M39+M41+M42+M43+M44+M45+M50+M51+M55</f>
        <v>3735.999</v>
      </c>
      <c r="N33" s="15">
        <f>N34+N35+N36+N37+N38+N39+N41+N42+N43+N44+N45+N50+N51+N55</f>
        <v>4157.42</v>
      </c>
      <c r="O33" s="15">
        <f>O34+O35+O36+O37+O38+O39+O41+O42+O43+O44+O45+O50+O51+O55</f>
        <v>421.4210000000003</v>
      </c>
      <c r="P33" s="15">
        <f>N33/M33*100</f>
        <v>111.28000837259326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94.65</v>
      </c>
      <c r="G34" s="36">
        <f>F34-E34</f>
        <v>40.650000000000006</v>
      </c>
      <c r="H34" s="32">
        <f aca="true" t="shared" si="7" ref="H34:H56">F34/E34*100</f>
        <v>175.2777777777778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E34-березень!E34</f>
        <v>3</v>
      </c>
      <c r="N34" s="178">
        <f>F34-березень!F34</f>
        <v>0</v>
      </c>
      <c r="O34" s="40">
        <f>N34-M34</f>
        <v>-3</v>
      </c>
      <c r="P34" s="42">
        <f aca="true" t="shared" si="8" ref="P34:P56">N34/M34*100</f>
        <v>0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36">
        <f aca="true" t="shared" si="9" ref="G35:G57">F35-E35</f>
        <v>2216.41</v>
      </c>
      <c r="H35" s="32">
        <f t="shared" si="7"/>
        <v>148.85188450517964</v>
      </c>
      <c r="I35" s="42">
        <f aca="true" t="shared" si="10" ref="I35:I57">F35-D35</f>
        <v>-3246.59</v>
      </c>
      <c r="J35" s="42">
        <f>F35/D35*100</f>
        <v>67.5341</v>
      </c>
      <c r="K35" s="42">
        <f>F35-0</f>
        <v>6753.41</v>
      </c>
      <c r="L35" s="42"/>
      <c r="M35" s="32">
        <f>E35-березень!E35</f>
        <v>1000</v>
      </c>
      <c r="N35" s="178">
        <f>F35-березень!F35</f>
        <v>3216.0299999999997</v>
      </c>
      <c r="O35" s="40">
        <f aca="true" t="shared" si="11" ref="O35:O57">N35-M35</f>
        <v>2216.0299999999997</v>
      </c>
      <c r="P35" s="42">
        <f t="shared" si="8"/>
        <v>321.603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27.23</v>
      </c>
      <c r="G36" s="36">
        <f t="shared" si="9"/>
        <v>-44.209999999999994</v>
      </c>
      <c r="H36" s="32">
        <f t="shared" si="7"/>
        <v>38.11590145576708</v>
      </c>
      <c r="I36" s="42">
        <f t="shared" si="10"/>
        <v>-372.77</v>
      </c>
      <c r="J36" s="42">
        <f aca="true" t="shared" si="12" ref="J36:J56">F36/D36*100</f>
        <v>6.807499999999999</v>
      </c>
      <c r="K36" s="42">
        <f>F36-4.04</f>
        <v>23.19</v>
      </c>
      <c r="L36" s="42">
        <f>F36/4.04*100</f>
        <v>674.009900990099</v>
      </c>
      <c r="M36" s="32">
        <f>E36-березень!E36</f>
        <v>20</v>
      </c>
      <c r="N36" s="178">
        <f>F36-березень!F36</f>
        <v>0.2699999999999996</v>
      </c>
      <c r="O36" s="40">
        <f t="shared" si="11"/>
        <v>-19.73</v>
      </c>
      <c r="P36" s="42">
        <f t="shared" si="8"/>
        <v>1.3499999999999979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E37-березень!E37</f>
        <v>0</v>
      </c>
      <c r="N37" s="178">
        <f>F37-березень!F37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21.41</v>
      </c>
      <c r="G38" s="36">
        <f t="shared" si="9"/>
        <v>-18.59</v>
      </c>
      <c r="H38" s="32">
        <f t="shared" si="7"/>
        <v>53.525</v>
      </c>
      <c r="I38" s="42">
        <f t="shared" si="10"/>
        <v>-128.59</v>
      </c>
      <c r="J38" s="42">
        <f t="shared" si="12"/>
        <v>14.273333333333332</v>
      </c>
      <c r="K38" s="42">
        <f>F38-30.76</f>
        <v>-9.350000000000001</v>
      </c>
      <c r="L38" s="42">
        <f>F38/30.76*100</f>
        <v>69.60338101430429</v>
      </c>
      <c r="M38" s="32">
        <f>E38-березень!E38</f>
        <v>10</v>
      </c>
      <c r="N38" s="178">
        <f>F38-березень!F38</f>
        <v>1.0100000000000016</v>
      </c>
      <c r="O38" s="40">
        <f t="shared" si="11"/>
        <v>-8.989999999999998</v>
      </c>
      <c r="P38" s="42">
        <f t="shared" si="8"/>
        <v>10.100000000000016</v>
      </c>
      <c r="Q38" s="42"/>
      <c r="R38" s="100"/>
    </row>
    <row r="39" spans="1:18" s="6" customFormat="1" ht="30.75">
      <c r="A39" s="8"/>
      <c r="B39" s="187" t="s">
        <v>124</v>
      </c>
      <c r="C39" s="54">
        <v>22010300</v>
      </c>
      <c r="D39" s="33">
        <v>90</v>
      </c>
      <c r="E39" s="33">
        <v>24</v>
      </c>
      <c r="F39" s="170">
        <v>0</v>
      </c>
      <c r="G39" s="36">
        <f t="shared" si="9"/>
        <v>-24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E39-березень!E39</f>
        <v>8</v>
      </c>
      <c r="N39" s="178">
        <f>F39-березень!F39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E40-березень!E40</f>
        <v>0</v>
      </c>
      <c r="N40" s="178">
        <f>F40-березень!F40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2939.02</v>
      </c>
      <c r="F41" s="170">
        <v>2473.23</v>
      </c>
      <c r="G41" s="36">
        <f t="shared" si="9"/>
        <v>-465.78999999999996</v>
      </c>
      <c r="H41" s="32">
        <f t="shared" si="7"/>
        <v>84.15151989438657</v>
      </c>
      <c r="I41" s="42">
        <f t="shared" si="10"/>
        <v>-7426.77</v>
      </c>
      <c r="J41" s="42">
        <f t="shared" si="12"/>
        <v>24.98212121212121</v>
      </c>
      <c r="K41" s="42">
        <f>F41-2528.58</f>
        <v>-55.34999999999991</v>
      </c>
      <c r="L41" s="42">
        <f>F41/2528.58*100</f>
        <v>97.81102436940891</v>
      </c>
      <c r="M41" s="32">
        <f>E41-березень!E41</f>
        <v>800</v>
      </c>
      <c r="N41" s="178">
        <f>F41-березень!F41</f>
        <v>133.6500000000001</v>
      </c>
      <c r="O41" s="40">
        <f t="shared" si="11"/>
        <v>-666.3499999999999</v>
      </c>
      <c r="P41" s="42">
        <f t="shared" si="8"/>
        <v>16.70625000000001</v>
      </c>
      <c r="Q41" s="42"/>
      <c r="R41" s="100"/>
    </row>
    <row r="42" spans="1:18" s="6" customFormat="1" ht="30.75">
      <c r="A42" s="8"/>
      <c r="B42" s="188" t="s">
        <v>111</v>
      </c>
      <c r="C42" s="77">
        <v>22012600</v>
      </c>
      <c r="D42" s="33">
        <v>1500</v>
      </c>
      <c r="E42" s="33">
        <v>390</v>
      </c>
      <c r="F42" s="170">
        <v>1.37</v>
      </c>
      <c r="G42" s="36">
        <f t="shared" si="9"/>
        <v>-388.63</v>
      </c>
      <c r="H42" s="32">
        <f t="shared" si="7"/>
        <v>0.3512820512820513</v>
      </c>
      <c r="I42" s="42">
        <f t="shared" si="10"/>
        <v>-1498.63</v>
      </c>
      <c r="J42" s="42">
        <f t="shared" si="12"/>
        <v>0.09133333333333334</v>
      </c>
      <c r="K42" s="42">
        <f>F42-0</f>
        <v>1.37</v>
      </c>
      <c r="L42" s="42"/>
      <c r="M42" s="32">
        <f>E42-березень!E42</f>
        <v>130</v>
      </c>
      <c r="N42" s="178">
        <f>F42-березень!F42</f>
        <v>0.17000000000000015</v>
      </c>
      <c r="O42" s="40">
        <f t="shared" si="11"/>
        <v>-129.83</v>
      </c>
      <c r="P42" s="42">
        <f t="shared" si="8"/>
        <v>0.1307692307692309</v>
      </c>
      <c r="Q42" s="42"/>
      <c r="R42" s="100"/>
    </row>
    <row r="43" spans="1:18" s="6" customFormat="1" ht="30.75">
      <c r="A43" s="8"/>
      <c r="B43" s="188" t="s">
        <v>125</v>
      </c>
      <c r="C43" s="77">
        <v>22012900</v>
      </c>
      <c r="D43" s="33">
        <v>50</v>
      </c>
      <c r="E43" s="33">
        <v>12</v>
      </c>
      <c r="F43" s="170">
        <v>0</v>
      </c>
      <c r="G43" s="36">
        <f t="shared" si="9"/>
        <v>-12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E43-березень!E43</f>
        <v>4</v>
      </c>
      <c r="N43" s="178">
        <f>F43-березень!F43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2666.23</v>
      </c>
      <c r="F44" s="170">
        <v>2631.35</v>
      </c>
      <c r="G44" s="36">
        <f t="shared" si="9"/>
        <v>-34.88000000000011</v>
      </c>
      <c r="H44" s="32">
        <f t="shared" si="7"/>
        <v>98.69178577992146</v>
      </c>
      <c r="I44" s="42">
        <f t="shared" si="10"/>
        <v>-5868.65</v>
      </c>
      <c r="J44" s="42">
        <f t="shared" si="12"/>
        <v>30.957058823529408</v>
      </c>
      <c r="K44" s="42">
        <f>F44-1946.14</f>
        <v>685.2099999999998</v>
      </c>
      <c r="L44" s="42">
        <f>F44/1946.14*100</f>
        <v>135.20866946879462</v>
      </c>
      <c r="M44" s="32">
        <f>E44-березень!E44</f>
        <v>650</v>
      </c>
      <c r="N44" s="178">
        <f>F44-березень!F44</f>
        <v>629.8199999999999</v>
      </c>
      <c r="O44" s="40">
        <f t="shared" si="11"/>
        <v>-20.180000000000064</v>
      </c>
      <c r="P44" s="42">
        <f t="shared" si="8"/>
        <v>96.8953846153846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2014.19</v>
      </c>
      <c r="F45" s="170">
        <v>1588.48</v>
      </c>
      <c r="G45" s="36">
        <f t="shared" si="9"/>
        <v>-425.71000000000004</v>
      </c>
      <c r="H45" s="32">
        <f t="shared" si="7"/>
        <v>78.86445667985642</v>
      </c>
      <c r="I45" s="42">
        <f t="shared" si="10"/>
        <v>-5711.52</v>
      </c>
      <c r="J45" s="42">
        <f t="shared" si="12"/>
        <v>21.76</v>
      </c>
      <c r="K45" s="132">
        <f>F45-2181.98</f>
        <v>-593.5</v>
      </c>
      <c r="L45" s="132">
        <f>F45/2181.98*100</f>
        <v>72.79993400489464</v>
      </c>
      <c r="M45" s="32">
        <f>E45-березень!E45</f>
        <v>641</v>
      </c>
      <c r="N45" s="178">
        <f>F45-березень!F45</f>
        <v>88.38000000000011</v>
      </c>
      <c r="O45" s="40">
        <f t="shared" si="11"/>
        <v>-552.6199999999999</v>
      </c>
      <c r="P45" s="132">
        <f t="shared" si="8"/>
        <v>13.787831513260548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288.99</v>
      </c>
      <c r="F46" s="171">
        <v>175.51</v>
      </c>
      <c r="G46" s="36">
        <f t="shared" si="9"/>
        <v>-113.48000000000002</v>
      </c>
      <c r="H46" s="32">
        <f t="shared" si="7"/>
        <v>60.73220526661822</v>
      </c>
      <c r="I46" s="110">
        <f t="shared" si="10"/>
        <v>-924.49</v>
      </c>
      <c r="J46" s="110">
        <f t="shared" si="12"/>
        <v>15.955454545454545</v>
      </c>
      <c r="K46" s="110">
        <f>F46-216.18</f>
        <v>-40.670000000000016</v>
      </c>
      <c r="L46" s="110">
        <f>F46/216.18*100</f>
        <v>81.18697381811452</v>
      </c>
      <c r="M46" s="111">
        <f>E46-березень!E46</f>
        <v>100</v>
      </c>
      <c r="N46" s="179">
        <f>F46-березень!F46</f>
        <v>11.829999999999984</v>
      </c>
      <c r="O46" s="112">
        <f t="shared" si="11"/>
        <v>-88.17000000000002</v>
      </c>
      <c r="P46" s="132">
        <f t="shared" si="8"/>
        <v>11.829999999999984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3.04</v>
      </c>
      <c r="F47" s="171">
        <v>0.12</v>
      </c>
      <c r="G47" s="36">
        <f t="shared" si="9"/>
        <v>-2.92</v>
      </c>
      <c r="H47" s="32">
        <f t="shared" si="7"/>
        <v>3.9473684210526314</v>
      </c>
      <c r="I47" s="110">
        <f t="shared" si="10"/>
        <v>-44.88</v>
      </c>
      <c r="J47" s="110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111">
        <f>E47-березень!E47</f>
        <v>1</v>
      </c>
      <c r="N47" s="179">
        <f>F47-березень!F47</f>
        <v>0</v>
      </c>
      <c r="O47" s="112">
        <f t="shared" si="11"/>
        <v>-1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/>
      <c r="I48" s="110">
        <f t="shared" si="10"/>
        <v>-1</v>
      </c>
      <c r="J48" s="110">
        <f t="shared" si="12"/>
        <v>0</v>
      </c>
      <c r="K48" s="110">
        <f>F48-0.53</f>
        <v>-0.53</v>
      </c>
      <c r="L48" s="110">
        <f>F48/0.53*100</f>
        <v>0</v>
      </c>
      <c r="M48" s="111">
        <f>E48-березень!E48</f>
        <v>0</v>
      </c>
      <c r="N48" s="179">
        <f>F48-березень!F48</f>
        <v>0</v>
      </c>
      <c r="O48" s="112">
        <f t="shared" si="11"/>
        <v>0</v>
      </c>
      <c r="P48" s="132"/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1722.17</v>
      </c>
      <c r="F49" s="171">
        <v>1412.85</v>
      </c>
      <c r="G49" s="36">
        <f t="shared" si="9"/>
        <v>-309.32000000000016</v>
      </c>
      <c r="H49" s="32">
        <f t="shared" si="7"/>
        <v>82.03893924525453</v>
      </c>
      <c r="I49" s="110">
        <f t="shared" si="10"/>
        <v>-4741.15</v>
      </c>
      <c r="J49" s="110">
        <f t="shared" si="12"/>
        <v>22.958238544036398</v>
      </c>
      <c r="K49" s="110">
        <f>F49-1921.57</f>
        <v>-508.72</v>
      </c>
      <c r="L49" s="110">
        <f>F49/1921.57*100</f>
        <v>73.52581482849962</v>
      </c>
      <c r="M49" s="111">
        <f>E49-березень!E49</f>
        <v>540</v>
      </c>
      <c r="N49" s="179">
        <f>F49-березень!F49</f>
        <v>76.54999999999995</v>
      </c>
      <c r="O49" s="112">
        <f t="shared" si="11"/>
        <v>-463.45000000000005</v>
      </c>
      <c r="P49" s="132">
        <f t="shared" si="8"/>
        <v>14.175925925925917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70">
        <v>2.46</v>
      </c>
      <c r="G50" s="36">
        <f t="shared" si="9"/>
        <v>2.29</v>
      </c>
      <c r="H50" s="32">
        <f t="shared" si="7"/>
        <v>1447.0588235294117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E50-березень!E50</f>
        <v>-0.0010000000000000009</v>
      </c>
      <c r="N50" s="178">
        <f>F50-березень!F50</f>
        <v>0</v>
      </c>
      <c r="O50" s="40">
        <f t="shared" si="11"/>
        <v>0.0010000000000000009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1477.98</v>
      </c>
      <c r="F51" s="170">
        <v>1202.93</v>
      </c>
      <c r="G51" s="36">
        <f t="shared" si="9"/>
        <v>-275.04999999999995</v>
      </c>
      <c r="H51" s="32">
        <f t="shared" si="7"/>
        <v>81.39014059730172</v>
      </c>
      <c r="I51" s="42">
        <f t="shared" si="10"/>
        <v>-3597.0699999999997</v>
      </c>
      <c r="J51" s="42">
        <f t="shared" si="12"/>
        <v>25.061041666666668</v>
      </c>
      <c r="K51" s="42">
        <f>F51-960.47</f>
        <v>242.46000000000004</v>
      </c>
      <c r="L51" s="42">
        <f>F51/960.47*100</f>
        <v>125.2438910116922</v>
      </c>
      <c r="M51" s="32">
        <f>E51-березень!E51</f>
        <v>470</v>
      </c>
      <c r="N51" s="178">
        <f>F51-березень!F51</f>
        <v>88.09000000000015</v>
      </c>
      <c r="O51" s="40">
        <f t="shared" si="11"/>
        <v>-381.90999999999985</v>
      </c>
      <c r="P51" s="42">
        <f t="shared" si="8"/>
        <v>18.742553191489392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E52-березень!E52</f>
        <v>0</v>
      </c>
      <c r="N52" s="178">
        <f>F52-березень!F52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261.7</v>
      </c>
      <c r="G53" s="36"/>
      <c r="H53" s="32"/>
      <c r="I53" s="42"/>
      <c r="J53" s="42"/>
      <c r="K53" s="112">
        <f>F53-239.6</f>
        <v>22.099999999999994</v>
      </c>
      <c r="L53" s="112">
        <f>F53/239.6*100</f>
        <v>109.2237061769616</v>
      </c>
      <c r="M53" s="32">
        <f>E53-березень!E53</f>
        <v>0</v>
      </c>
      <c r="N53" s="179">
        <f>F53-березень!F53</f>
        <v>32.79999999999998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E54-березень!E54</f>
        <v>0</v>
      </c>
      <c r="N54" s="178">
        <f>F54-березень!F54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E55-березень!E55</f>
        <v>0</v>
      </c>
      <c r="N55" s="178">
        <f>F55-березень!F55</f>
        <v>0</v>
      </c>
      <c r="O55" s="40">
        <f t="shared" si="11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7.6</v>
      </c>
      <c r="F56" s="170">
        <v>13.52</v>
      </c>
      <c r="G56" s="36">
        <f t="shared" si="9"/>
        <v>5.92</v>
      </c>
      <c r="H56" s="32">
        <f t="shared" si="7"/>
        <v>177.89473684210526</v>
      </c>
      <c r="I56" s="42">
        <f t="shared" si="10"/>
        <v>-16.48</v>
      </c>
      <c r="J56" s="42">
        <f t="shared" si="12"/>
        <v>45.06666666666666</v>
      </c>
      <c r="K56" s="42">
        <f>F56-6.1</f>
        <v>7.42</v>
      </c>
      <c r="L56" s="42">
        <f>F56/6.1*100</f>
        <v>221.63934426229508</v>
      </c>
      <c r="M56" s="32">
        <f>E56-березень!E56</f>
        <v>2.3</v>
      </c>
      <c r="N56" s="178">
        <f>F56-березень!F56</f>
        <v>7.72</v>
      </c>
      <c r="O56" s="40">
        <f t="shared" si="11"/>
        <v>5.42</v>
      </c>
      <c r="P56" s="42">
        <f t="shared" si="8"/>
        <v>335.6521739130435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E57-березень!E57</f>
        <v>0</v>
      </c>
      <c r="N57" s="178">
        <f>F57-березень!F57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285928.30999999994</v>
      </c>
      <c r="F58" s="15">
        <f>F8+F33+F56+F57</f>
        <v>233920.44999999998</v>
      </c>
      <c r="G58" s="37">
        <f>F58-E58</f>
        <v>-52007.85999999996</v>
      </c>
      <c r="H58" s="38">
        <f>F58/E58*100</f>
        <v>81.81087420129893</v>
      </c>
      <c r="I58" s="28">
        <f>F58-D58</f>
        <v>-649980.15</v>
      </c>
      <c r="J58" s="28">
        <f>F58/D58*100</f>
        <v>26.464565133228778</v>
      </c>
      <c r="K58" s="28">
        <f>F58-147138.18</f>
        <v>86782.26999999999</v>
      </c>
      <c r="L58" s="28">
        <f>F58/147138.18*100</f>
        <v>158.98011651360648</v>
      </c>
      <c r="M58" s="15">
        <f>M8+M33+M56+M57</f>
        <v>75098.79899999998</v>
      </c>
      <c r="N58" s="15">
        <f>N8+N33+N56+N57</f>
        <v>13454.66999999998</v>
      </c>
      <c r="O58" s="41">
        <f>N58-M58</f>
        <v>-61644.129</v>
      </c>
      <c r="P58" s="28">
        <f>N58/M58*100</f>
        <v>17.915958948957336</v>
      </c>
      <c r="Q58" s="28">
        <f>N58-34768</f>
        <v>-21313.33000000002</v>
      </c>
      <c r="R58" s="128">
        <f>N58/34768</f>
        <v>0.38698429590427924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 hidden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F63-березень!F63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F64-березень!F64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366.6</v>
      </c>
      <c r="F67" s="175">
        <v>0.17</v>
      </c>
      <c r="G67" s="36">
        <f aca="true" t="shared" si="13" ref="G67:G77">F67-E67</f>
        <v>-366.43</v>
      </c>
      <c r="H67" s="32"/>
      <c r="I67" s="43">
        <f aca="true" t="shared" si="14" ref="I67:I77">F67-D67</f>
        <v>-4199.83</v>
      </c>
      <c r="J67" s="43">
        <f>F67/D67*100</f>
        <v>0.004047619047619048</v>
      </c>
      <c r="K67" s="43">
        <f>F67-33.47</f>
        <v>-33.3</v>
      </c>
      <c r="L67" s="43">
        <f>F67/33.47*100</f>
        <v>0.5079175380938155</v>
      </c>
      <c r="M67" s="32">
        <f>E67-березень!E67</f>
        <v>294.6</v>
      </c>
      <c r="N67" s="178">
        <f>F67-березень!F67</f>
        <v>0.020000000000000018</v>
      </c>
      <c r="O67" s="40">
        <f aca="true" t="shared" si="15" ref="O67:O80">N67-M67</f>
        <v>-294.58000000000004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1634.01</v>
      </c>
      <c r="F68" s="175">
        <v>408.37</v>
      </c>
      <c r="G68" s="36">
        <f t="shared" si="13"/>
        <v>-1225.6399999999999</v>
      </c>
      <c r="H68" s="32">
        <f>F68/E68*100</f>
        <v>24.991891114497463</v>
      </c>
      <c r="I68" s="43">
        <f t="shared" si="14"/>
        <v>-7050.63</v>
      </c>
      <c r="J68" s="43">
        <f>F68/D68*100</f>
        <v>5.474862582115565</v>
      </c>
      <c r="K68" s="43">
        <f>F68-1409.78</f>
        <v>-1001.41</v>
      </c>
      <c r="L68" s="43">
        <f>F68/1409.78*100</f>
        <v>28.96693101051228</v>
      </c>
      <c r="M68" s="32">
        <f>E68-березень!E68</f>
        <v>242.5999999999999</v>
      </c>
      <c r="N68" s="178">
        <f>F68-березень!F68</f>
        <v>89.73000000000002</v>
      </c>
      <c r="O68" s="40">
        <f t="shared" si="15"/>
        <v>-152.8699999999999</v>
      </c>
      <c r="P68" s="43">
        <f>N68/M68*100</f>
        <v>36.9868095630668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1188.85</v>
      </c>
      <c r="F69" s="175">
        <v>7957.68</v>
      </c>
      <c r="G69" s="36">
        <f t="shared" si="13"/>
        <v>6768.83</v>
      </c>
      <c r="H69" s="32">
        <f>F69/E69*100</f>
        <v>669.35946502923</v>
      </c>
      <c r="I69" s="43">
        <f t="shared" si="14"/>
        <v>1957.6800000000003</v>
      </c>
      <c r="J69" s="43">
        <f>F69/D69*100</f>
        <v>132.62800000000001</v>
      </c>
      <c r="K69" s="43">
        <f>F69-11.06</f>
        <v>7946.62</v>
      </c>
      <c r="L69" s="43">
        <f>F69/11.06*100</f>
        <v>71950.0904159132</v>
      </c>
      <c r="M69" s="32">
        <f>E69-березень!E69</f>
        <v>301.9999999999999</v>
      </c>
      <c r="N69" s="178">
        <f>F69-березень!F69</f>
        <v>0.5900000000001455</v>
      </c>
      <c r="O69" s="40">
        <f t="shared" si="15"/>
        <v>-301.40999999999974</v>
      </c>
      <c r="P69" s="43">
        <f>N69/M69*100</f>
        <v>0.19536423841064432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4</v>
      </c>
      <c r="F70" s="175">
        <v>3</v>
      </c>
      <c r="G70" s="36">
        <f t="shared" si="13"/>
        <v>-1</v>
      </c>
      <c r="H70" s="32">
        <f>F70/E70*100</f>
        <v>75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E70-березень!E70</f>
        <v>1</v>
      </c>
      <c r="N70" s="178">
        <f>F70-березень!F70</f>
        <v>0</v>
      </c>
      <c r="O70" s="40">
        <f t="shared" si="15"/>
        <v>-1</v>
      </c>
      <c r="P70" s="43">
        <f>N70/M70*100</f>
        <v>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3193.46</v>
      </c>
      <c r="F71" s="176">
        <f>F67+F68+F69+F70</f>
        <v>8369.220000000001</v>
      </c>
      <c r="G71" s="45">
        <f t="shared" si="13"/>
        <v>5175.760000000001</v>
      </c>
      <c r="H71" s="52">
        <f>F71/E71*100</f>
        <v>262.0737382024513</v>
      </c>
      <c r="I71" s="44">
        <f t="shared" si="14"/>
        <v>-9301.779999999999</v>
      </c>
      <c r="J71" s="44">
        <f>F71/D71*100</f>
        <v>47.36132646709299</v>
      </c>
      <c r="K71" s="44">
        <f>F71-1454.31</f>
        <v>6914.910000000002</v>
      </c>
      <c r="L71" s="44">
        <f>F71/1454.31*100</f>
        <v>575.4770303442871</v>
      </c>
      <c r="M71" s="45">
        <f>M67+M68+M69+M70</f>
        <v>840.1999999999998</v>
      </c>
      <c r="N71" s="183">
        <f>N67+N68+N69+N70</f>
        <v>90.34000000000016</v>
      </c>
      <c r="O71" s="44">
        <f t="shared" si="15"/>
        <v>-749.8599999999997</v>
      </c>
      <c r="P71" s="44">
        <f>N71/M71*100</f>
        <v>10.752201856700806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E72-березень!E72</f>
        <v>0</v>
      </c>
      <c r="N72" s="178">
        <f>F72-березень!F72</f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E73-березень!E73</f>
        <v>0</v>
      </c>
      <c r="N73" s="178">
        <f>F73-березень!F73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2020.7</v>
      </c>
      <c r="F74" s="175">
        <v>2019.46</v>
      </c>
      <c r="G74" s="36">
        <f t="shared" si="13"/>
        <v>-1.240000000000009</v>
      </c>
      <c r="H74" s="32">
        <f>F74/E74*100</f>
        <v>99.93863512644133</v>
      </c>
      <c r="I74" s="43">
        <f t="shared" si="14"/>
        <v>-7480.54</v>
      </c>
      <c r="J74" s="40">
        <f>F74/D74*100</f>
        <v>21.257473684210527</v>
      </c>
      <c r="K74" s="40">
        <f>F74-0</f>
        <v>2019.46</v>
      </c>
      <c r="L74" s="43"/>
      <c r="M74" s="32">
        <f>E74-березень!E74</f>
        <v>15</v>
      </c>
      <c r="N74" s="178">
        <f>F74-березень!F74</f>
        <v>0.4600000000000364</v>
      </c>
      <c r="O74" s="40">
        <f>N74-M74</f>
        <v>-14.539999999999964</v>
      </c>
      <c r="P74" s="46">
        <f>N74/M74*100</f>
        <v>3.0666666666669093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E75-березень!E75</f>
        <v>0</v>
      </c>
      <c r="N75" s="178">
        <f>F75-березень!F75</f>
        <v>0</v>
      </c>
      <c r="O75" s="40">
        <f t="shared" si="15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2020.7</v>
      </c>
      <c r="F76" s="176">
        <f>F72+F75+F73+F74</f>
        <v>2020.3</v>
      </c>
      <c r="G76" s="30">
        <f>G72+G75+G73+G74</f>
        <v>-0.400000000000009</v>
      </c>
      <c r="H76" s="52">
        <f>F76/E76*100</f>
        <v>99.98020487949721</v>
      </c>
      <c r="I76" s="44">
        <f t="shared" si="14"/>
        <v>-7480.7</v>
      </c>
      <c r="J76" s="44">
        <f>F76/D76*100</f>
        <v>21.264077465529944</v>
      </c>
      <c r="K76" s="44">
        <f>F76-0.58</f>
        <v>2019.72</v>
      </c>
      <c r="L76" s="44">
        <f>F76/0.58*100</f>
        <v>348327.5862068966</v>
      </c>
      <c r="M76" s="45">
        <f>M72+M75+M73+M74</f>
        <v>15</v>
      </c>
      <c r="N76" s="183">
        <f>N72+N75+N73+N74</f>
        <v>0.4600000000000364</v>
      </c>
      <c r="O76" s="45">
        <f>O72+O75+O73+O74</f>
        <v>-14.539999999999964</v>
      </c>
      <c r="P76" s="44">
        <f>N76/M76*100</f>
        <v>3.0666666666669093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13.14</v>
      </c>
      <c r="F77" s="175">
        <v>9.19</v>
      </c>
      <c r="G77" s="36">
        <f t="shared" si="13"/>
        <v>-3.950000000000001</v>
      </c>
      <c r="H77" s="32">
        <f>F77/E77*100</f>
        <v>69.93911719939116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E77-березень!E77</f>
        <v>0.4299999999999997</v>
      </c>
      <c r="N77" s="178">
        <f>F77-березень!F77</f>
        <v>0</v>
      </c>
      <c r="O77" s="40">
        <f t="shared" si="15"/>
        <v>-0.4299999999999997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5227.3</v>
      </c>
      <c r="F79" s="24">
        <f>F65+F77+F71+F76+F78</f>
        <v>10398.44</v>
      </c>
      <c r="G79" s="37">
        <f>F79-E79</f>
        <v>5171.14</v>
      </c>
      <c r="H79" s="38">
        <f>F79/E79*100</f>
        <v>198.9256403879632</v>
      </c>
      <c r="I79" s="28">
        <f>F79-D79</f>
        <v>-16816.559999999998</v>
      </c>
      <c r="J79" s="28">
        <f>F79/D79*100</f>
        <v>38.208487966195115</v>
      </c>
      <c r="K79" s="28">
        <f>F79-1453.19</f>
        <v>8945.25</v>
      </c>
      <c r="L79" s="28">
        <f>F79/1453.19*100</f>
        <v>715.5595620669011</v>
      </c>
      <c r="M79" s="24">
        <f>M65+M77+M71+M76</f>
        <v>855.6299999999998</v>
      </c>
      <c r="N79" s="24">
        <f>N65+N77+N71+N76+N78</f>
        <v>90.8000000000002</v>
      </c>
      <c r="O79" s="28">
        <f t="shared" si="15"/>
        <v>-764.8299999999996</v>
      </c>
      <c r="P79" s="28">
        <f>N79/M79*100</f>
        <v>10.6120636256326</v>
      </c>
      <c r="Q79" s="28">
        <f>N79-8104.96</f>
        <v>-8014.16</v>
      </c>
      <c r="R79" s="101">
        <f>N79/8104.96</f>
        <v>0.011203016424510447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291155.6099999999</v>
      </c>
      <c r="F80" s="24">
        <f>F58+F79</f>
        <v>244318.88999999998</v>
      </c>
      <c r="G80" s="37">
        <f>F80-E80</f>
        <v>-46836.71999999994</v>
      </c>
      <c r="H80" s="38">
        <f>F80/E80*100</f>
        <v>83.9135093429936</v>
      </c>
      <c r="I80" s="28">
        <f>F80-D80</f>
        <v>-666796.71</v>
      </c>
      <c r="J80" s="28">
        <f>F80/D80*100</f>
        <v>26.81535581214941</v>
      </c>
      <c r="K80" s="28">
        <f>K58+K79</f>
        <v>95727.51999999999</v>
      </c>
      <c r="L80" s="28">
        <f>F80/139550.7*100</f>
        <v>175.07535970797707</v>
      </c>
      <c r="M80" s="15">
        <f>M58+M79</f>
        <v>75954.42899999999</v>
      </c>
      <c r="N80" s="15">
        <f>N58+N79</f>
        <v>13545.469999999981</v>
      </c>
      <c r="O80" s="28">
        <f t="shared" si="15"/>
        <v>-62408.95900000001</v>
      </c>
      <c r="P80" s="28">
        <f>N80/M80*100</f>
        <v>17.833680245295483</v>
      </c>
      <c r="Q80" s="28">
        <f>N80-42872.96</f>
        <v>-29327.49000000002</v>
      </c>
      <c r="R80" s="101">
        <f>N80/42872.96</f>
        <v>0.3159443621340813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17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3626.125235294118</v>
      </c>
      <c r="D83" s="4" t="s">
        <v>24</v>
      </c>
      <c r="G83" s="214"/>
      <c r="H83" s="214"/>
      <c r="I83" s="214"/>
      <c r="J83" s="214"/>
      <c r="K83" s="90"/>
      <c r="L83" s="90"/>
      <c r="P83" s="26"/>
      <c r="Q83" s="26"/>
    </row>
    <row r="84" spans="2:15" ht="34.5" customHeight="1">
      <c r="B84" s="58" t="s">
        <v>56</v>
      </c>
      <c r="C84" s="87">
        <v>42466</v>
      </c>
      <c r="D84" s="31">
        <v>4036.4</v>
      </c>
      <c r="G84" s="4" t="s">
        <v>59</v>
      </c>
      <c r="N84" s="215"/>
      <c r="O84" s="215"/>
    </row>
    <row r="85" spans="3:15" ht="15">
      <c r="C85" s="87">
        <v>42465</v>
      </c>
      <c r="D85" s="31">
        <v>2877.6</v>
      </c>
      <c r="F85" s="124" t="s">
        <v>59</v>
      </c>
      <c r="G85" s="216"/>
      <c r="H85" s="216"/>
      <c r="I85" s="131"/>
      <c r="J85" s="217"/>
      <c r="K85" s="217"/>
      <c r="L85" s="217"/>
      <c r="M85" s="217"/>
      <c r="N85" s="215"/>
      <c r="O85" s="215"/>
    </row>
    <row r="86" spans="3:15" ht="15.75" customHeight="1">
      <c r="C86" s="87">
        <v>42464</v>
      </c>
      <c r="D86" s="31">
        <v>2210.9</v>
      </c>
      <c r="F86" s="73"/>
      <c r="G86" s="216"/>
      <c r="H86" s="216"/>
      <c r="I86" s="131"/>
      <c r="J86" s="218"/>
      <c r="K86" s="218"/>
      <c r="L86" s="218"/>
      <c r="M86" s="218"/>
      <c r="N86" s="215"/>
      <c r="O86" s="215"/>
    </row>
    <row r="87" spans="3:13" ht="15.75" customHeight="1">
      <c r="C87" s="87"/>
      <c r="F87" s="73"/>
      <c r="G87" s="222"/>
      <c r="H87" s="222"/>
      <c r="I87" s="139"/>
      <c r="J87" s="217"/>
      <c r="K87" s="217"/>
      <c r="L87" s="217"/>
      <c r="M87" s="217"/>
    </row>
    <row r="88" spans="2:13" ht="18.75" customHeight="1">
      <c r="B88" s="223" t="s">
        <v>57</v>
      </c>
      <c r="C88" s="224"/>
      <c r="D88" s="148">
        <v>0.65016</v>
      </c>
      <c r="E88" s="74"/>
      <c r="F88" s="140" t="s">
        <v>137</v>
      </c>
      <c r="G88" s="216"/>
      <c r="H88" s="216"/>
      <c r="I88" s="141"/>
      <c r="J88" s="217"/>
      <c r="K88" s="217"/>
      <c r="L88" s="217"/>
      <c r="M88" s="217"/>
    </row>
    <row r="89" spans="6:12" ht="9.75" customHeight="1">
      <c r="F89" s="73"/>
      <c r="G89" s="216"/>
      <c r="H89" s="216"/>
      <c r="I89" s="73"/>
      <c r="J89" s="74"/>
      <c r="K89" s="74"/>
      <c r="L89" s="74"/>
    </row>
    <row r="90" spans="2:12" ht="22.5" customHeight="1" hidden="1">
      <c r="B90" s="219" t="s">
        <v>60</v>
      </c>
      <c r="C90" s="220"/>
      <c r="D90" s="86">
        <v>0</v>
      </c>
      <c r="E90" s="56" t="s">
        <v>24</v>
      </c>
      <c r="F90" s="73"/>
      <c r="G90" s="216"/>
      <c r="H90" s="21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6"/>
      <c r="O91" s="216"/>
    </row>
    <row r="92" spans="4:15" ht="15">
      <c r="D92" s="83"/>
      <c r="I92" s="31"/>
      <c r="N92" s="221"/>
      <c r="O92" s="221"/>
    </row>
    <row r="93" spans="14:15" ht="15">
      <c r="N93" s="216"/>
      <c r="O93" s="216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2" sqref="G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89" t="s">
        <v>148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92"/>
      <c r="R1" s="93"/>
    </row>
    <row r="2" spans="2:18" s="1" customFormat="1" ht="15.75" customHeight="1">
      <c r="B2" s="190"/>
      <c r="C2" s="190"/>
      <c r="D2" s="19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1"/>
      <c r="B3" s="193"/>
      <c r="C3" s="194" t="s">
        <v>0</v>
      </c>
      <c r="D3" s="195" t="s">
        <v>121</v>
      </c>
      <c r="E3" s="34"/>
      <c r="F3" s="196" t="s">
        <v>26</v>
      </c>
      <c r="G3" s="197"/>
      <c r="H3" s="197"/>
      <c r="I3" s="197"/>
      <c r="J3" s="198"/>
      <c r="K3" s="89"/>
      <c r="L3" s="89"/>
      <c r="M3" s="199" t="s">
        <v>147</v>
      </c>
      <c r="N3" s="202" t="s">
        <v>143</v>
      </c>
      <c r="O3" s="202"/>
      <c r="P3" s="202"/>
      <c r="Q3" s="202"/>
      <c r="R3" s="202"/>
    </row>
    <row r="4" spans="1:18" ht="22.5" customHeight="1">
      <c r="A4" s="191"/>
      <c r="B4" s="193"/>
      <c r="C4" s="194"/>
      <c r="D4" s="195"/>
      <c r="E4" s="203" t="s">
        <v>146</v>
      </c>
      <c r="F4" s="205" t="s">
        <v>34</v>
      </c>
      <c r="G4" s="207" t="s">
        <v>141</v>
      </c>
      <c r="H4" s="200" t="s">
        <v>142</v>
      </c>
      <c r="I4" s="207" t="s">
        <v>122</v>
      </c>
      <c r="J4" s="200" t="s">
        <v>123</v>
      </c>
      <c r="K4" s="91" t="s">
        <v>65</v>
      </c>
      <c r="L4" s="96" t="s">
        <v>64</v>
      </c>
      <c r="M4" s="200"/>
      <c r="N4" s="209" t="s">
        <v>149</v>
      </c>
      <c r="O4" s="207" t="s">
        <v>50</v>
      </c>
      <c r="P4" s="211" t="s">
        <v>49</v>
      </c>
      <c r="Q4" s="97" t="s">
        <v>65</v>
      </c>
      <c r="R4" s="98" t="s">
        <v>64</v>
      </c>
    </row>
    <row r="5" spans="1:18" ht="78.75" customHeight="1">
      <c r="A5" s="192"/>
      <c r="B5" s="193"/>
      <c r="C5" s="194"/>
      <c r="D5" s="195"/>
      <c r="E5" s="204"/>
      <c r="F5" s="206"/>
      <c r="G5" s="208"/>
      <c r="H5" s="201"/>
      <c r="I5" s="208"/>
      <c r="J5" s="201"/>
      <c r="K5" s="212" t="s">
        <v>144</v>
      </c>
      <c r="L5" s="213"/>
      <c r="M5" s="201"/>
      <c r="N5" s="210"/>
      <c r="O5" s="208"/>
      <c r="P5" s="211"/>
      <c r="Q5" s="212" t="s">
        <v>120</v>
      </c>
      <c r="R5" s="2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/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10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10672.269999999999</v>
      </c>
      <c r="G33" s="15">
        <f>G34+G35+G36+G37+G38+G39+G41+G42+G43+G44+G45+G50+G51+G55</f>
        <v>162.25899999999976</v>
      </c>
      <c r="H33" s="38">
        <f>F33/E33*100</f>
        <v>101.54365862479375</v>
      </c>
      <c r="I33" s="28">
        <f>F33-D33</f>
        <v>-32147.730000000003</v>
      </c>
      <c r="J33" s="28">
        <f>F33/D33*100</f>
        <v>24.923563755254552</v>
      </c>
      <c r="K33" s="15">
        <f>F33-7649.28</f>
        <v>3022.989999999999</v>
      </c>
      <c r="L33" s="15">
        <f>F33/7649.28*100</f>
        <v>139.51992867302542</v>
      </c>
      <c r="M33" s="15">
        <f>M34+M35+M36+M37+M38+M39+M41+M42+M43+M44+M45+M50+M51+M55</f>
        <v>5575.005</v>
      </c>
      <c r="N33" s="15">
        <f>N34+N35+N36+N37+N38+N39+N41+N42+N43+N44+N45+N50+N51+N55</f>
        <v>5755.829999999999</v>
      </c>
      <c r="O33" s="15">
        <f>O34+O35+O36+O37+O38+O39+O41+O42+O43+O44+O45+O50+O51+O55</f>
        <v>180.82500000000013</v>
      </c>
      <c r="P33" s="15">
        <f>N33/M33*100</f>
        <v>103.24349484888353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228.9</v>
      </c>
      <c r="G53" s="36"/>
      <c r="H53" s="32"/>
      <c r="I53" s="42"/>
      <c r="J53" s="42"/>
      <c r="K53" s="112">
        <f>F53-239.6</f>
        <v>-10.699999999999989</v>
      </c>
      <c r="L53" s="112">
        <f>F53/239.6*100</f>
        <v>95.53422370617697</v>
      </c>
      <c r="M53" s="111"/>
      <c r="N53" s="179">
        <f>F53-лютий!F53</f>
        <v>81.6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220465.78</v>
      </c>
      <c r="G58" s="37">
        <f>F58-E58</f>
        <v>9636.269</v>
      </c>
      <c r="H58" s="38">
        <f>F58/E58*100</f>
        <v>104.57064523571371</v>
      </c>
      <c r="I58" s="28">
        <f>F58-D58</f>
        <v>-663434.82</v>
      </c>
      <c r="J58" s="28">
        <f>F58/D58*100</f>
        <v>24.94237247943943</v>
      </c>
      <c r="K58" s="28">
        <f>F58-147138.18</f>
        <v>73327.6</v>
      </c>
      <c r="L58" s="28">
        <f>F58/147138.18*100</f>
        <v>149.83587536559173</v>
      </c>
      <c r="M58" s="15">
        <f>M8+M33+M56+M57</f>
        <v>83178.71500000001</v>
      </c>
      <c r="N58" s="15">
        <f>N8+N33+N56+N57</f>
        <v>75122.51500000001</v>
      </c>
      <c r="O58" s="41">
        <f>N58-M58</f>
        <v>-8056.199999999997</v>
      </c>
      <c r="P58" s="28">
        <f>N58/M58*100</f>
        <v>90.31458949564201</v>
      </c>
      <c r="Q58" s="28">
        <f>N58-34768</f>
        <v>40354.515000000014</v>
      </c>
      <c r="R58" s="128">
        <f>N58/34768</f>
        <v>2.160679791762541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230773.42</v>
      </c>
      <c r="G80" s="37">
        <f>F80-E80</f>
        <v>15572.239000000001</v>
      </c>
      <c r="H80" s="38">
        <f>F80/E80*100</f>
        <v>107.23613082773929</v>
      </c>
      <c r="I80" s="28">
        <f>F80-D80</f>
        <v>-680342.1799999999</v>
      </c>
      <c r="J80" s="28">
        <f>F80/D80*100</f>
        <v>25.32866520999092</v>
      </c>
      <c r="K80" s="28">
        <f>K58+K79</f>
        <v>82182.05</v>
      </c>
      <c r="L80" s="28">
        <f>F80/139550.7*100</f>
        <v>165.36887310490022</v>
      </c>
      <c r="M80" s="15">
        <f>M58+M79</f>
        <v>83825.51500000001</v>
      </c>
      <c r="N80" s="15">
        <f>N58+N79</f>
        <v>82390.29500000001</v>
      </c>
      <c r="O80" s="28">
        <f t="shared" si="15"/>
        <v>-1435.2200000000012</v>
      </c>
      <c r="P80" s="28">
        <f>N80/M80*100</f>
        <v>98.28784827626768</v>
      </c>
      <c r="Q80" s="28">
        <f>N80-42872.96</f>
        <v>39517.335000000014</v>
      </c>
      <c r="R80" s="101">
        <f>N80/42872.96</f>
        <v>1.9217309698234042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14"/>
      <c r="H83" s="214"/>
      <c r="I83" s="214"/>
      <c r="J83" s="214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15"/>
      <c r="O84" s="215"/>
    </row>
    <row r="85" spans="3:15" ht="15">
      <c r="C85" s="87">
        <v>42459</v>
      </c>
      <c r="D85" s="31">
        <v>7576.3</v>
      </c>
      <c r="F85" s="124" t="s">
        <v>59</v>
      </c>
      <c r="G85" s="216"/>
      <c r="H85" s="216"/>
      <c r="I85" s="131"/>
      <c r="J85" s="217"/>
      <c r="K85" s="217"/>
      <c r="L85" s="217"/>
      <c r="M85" s="217"/>
      <c r="N85" s="215"/>
      <c r="O85" s="215"/>
    </row>
    <row r="86" spans="3:15" ht="15.75" customHeight="1">
      <c r="C86" s="87">
        <v>42458</v>
      </c>
      <c r="D86" s="31">
        <v>9190.1</v>
      </c>
      <c r="F86" s="73"/>
      <c r="G86" s="216"/>
      <c r="H86" s="216"/>
      <c r="I86" s="131"/>
      <c r="J86" s="218"/>
      <c r="K86" s="218"/>
      <c r="L86" s="218"/>
      <c r="M86" s="218"/>
      <c r="N86" s="215"/>
      <c r="O86" s="215"/>
    </row>
    <row r="87" spans="3:13" ht="15.75" customHeight="1">
      <c r="C87" s="87"/>
      <c r="F87" s="73"/>
      <c r="G87" s="222"/>
      <c r="H87" s="222"/>
      <c r="I87" s="139"/>
      <c r="J87" s="217"/>
      <c r="K87" s="217"/>
      <c r="L87" s="217"/>
      <c r="M87" s="217"/>
    </row>
    <row r="88" spans="2:13" ht="18.75" customHeight="1">
      <c r="B88" s="223" t="s">
        <v>57</v>
      </c>
      <c r="C88" s="224"/>
      <c r="D88" s="148">
        <f>4343.7</f>
        <v>4343.7</v>
      </c>
      <c r="E88" s="74"/>
      <c r="F88" s="140" t="s">
        <v>137</v>
      </c>
      <c r="G88" s="216"/>
      <c r="H88" s="216"/>
      <c r="I88" s="141"/>
      <c r="J88" s="217"/>
      <c r="K88" s="217"/>
      <c r="L88" s="217"/>
      <c r="M88" s="217"/>
    </row>
    <row r="89" spans="6:12" ht="9.75" customHeight="1">
      <c r="F89" s="73"/>
      <c r="G89" s="216"/>
      <c r="H89" s="216"/>
      <c r="I89" s="73"/>
      <c r="J89" s="74"/>
      <c r="K89" s="74"/>
      <c r="L89" s="74"/>
    </row>
    <row r="90" spans="2:12" ht="22.5" customHeight="1" hidden="1">
      <c r="B90" s="219" t="s">
        <v>60</v>
      </c>
      <c r="C90" s="220"/>
      <c r="D90" s="86">
        <v>0</v>
      </c>
      <c r="E90" s="56" t="s">
        <v>24</v>
      </c>
      <c r="F90" s="73"/>
      <c r="G90" s="216"/>
      <c r="H90" s="21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6"/>
      <c r="O91" s="216"/>
    </row>
    <row r="92" spans="4:15" ht="15">
      <c r="D92" s="83"/>
      <c r="I92" s="31"/>
      <c r="N92" s="221"/>
      <c r="O92" s="221"/>
    </row>
    <row r="93" spans="14:15" ht="15">
      <c r="N93" s="216"/>
      <c r="O93" s="216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28" sqref="E28:E3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9" t="s">
        <v>139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92"/>
      <c r="R1" s="93"/>
    </row>
    <row r="2" spans="2:18" s="1" customFormat="1" ht="15.75" customHeight="1">
      <c r="B2" s="190"/>
      <c r="C2" s="190"/>
      <c r="D2" s="19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1"/>
      <c r="B3" s="193"/>
      <c r="C3" s="194" t="s">
        <v>0</v>
      </c>
      <c r="D3" s="195" t="s">
        <v>121</v>
      </c>
      <c r="E3" s="34"/>
      <c r="F3" s="196" t="s">
        <v>26</v>
      </c>
      <c r="G3" s="197"/>
      <c r="H3" s="197"/>
      <c r="I3" s="197"/>
      <c r="J3" s="198"/>
      <c r="K3" s="89"/>
      <c r="L3" s="89"/>
      <c r="M3" s="225" t="s">
        <v>128</v>
      </c>
      <c r="N3" s="202" t="s">
        <v>119</v>
      </c>
      <c r="O3" s="202"/>
      <c r="P3" s="202"/>
      <c r="Q3" s="202"/>
      <c r="R3" s="202"/>
    </row>
    <row r="4" spans="1:18" ht="22.5" customHeight="1">
      <c r="A4" s="191"/>
      <c r="B4" s="193"/>
      <c r="C4" s="194"/>
      <c r="D4" s="195"/>
      <c r="E4" s="203" t="s">
        <v>127</v>
      </c>
      <c r="F4" s="205" t="s">
        <v>34</v>
      </c>
      <c r="G4" s="207" t="s">
        <v>116</v>
      </c>
      <c r="H4" s="200" t="s">
        <v>117</v>
      </c>
      <c r="I4" s="207" t="s">
        <v>122</v>
      </c>
      <c r="J4" s="200" t="s">
        <v>123</v>
      </c>
      <c r="K4" s="91" t="s">
        <v>65</v>
      </c>
      <c r="L4" s="96" t="s">
        <v>64</v>
      </c>
      <c r="M4" s="200"/>
      <c r="N4" s="209" t="s">
        <v>140</v>
      </c>
      <c r="O4" s="207" t="s">
        <v>50</v>
      </c>
      <c r="P4" s="211" t="s">
        <v>49</v>
      </c>
      <c r="Q4" s="97" t="s">
        <v>65</v>
      </c>
      <c r="R4" s="98" t="s">
        <v>64</v>
      </c>
    </row>
    <row r="5" spans="1:18" ht="92.25" customHeight="1">
      <c r="A5" s="192"/>
      <c r="B5" s="193"/>
      <c r="C5" s="194"/>
      <c r="D5" s="195"/>
      <c r="E5" s="204"/>
      <c r="F5" s="206"/>
      <c r="G5" s="208"/>
      <c r="H5" s="201"/>
      <c r="I5" s="208"/>
      <c r="J5" s="201"/>
      <c r="K5" s="212" t="s">
        <v>118</v>
      </c>
      <c r="L5" s="213"/>
      <c r="M5" s="201"/>
      <c r="N5" s="210"/>
      <c r="O5" s="208"/>
      <c r="P5" s="211"/>
      <c r="Q5" s="212" t="s">
        <v>120</v>
      </c>
      <c r="R5" s="2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4"/>
      <c r="H83" s="214"/>
      <c r="I83" s="214"/>
      <c r="J83" s="214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15"/>
      <c r="O84" s="215"/>
    </row>
    <row r="85" spans="3:15" ht="15">
      <c r="C85" s="87">
        <v>42426</v>
      </c>
      <c r="D85" s="31">
        <v>6256.2</v>
      </c>
      <c r="F85" s="124" t="s">
        <v>59</v>
      </c>
      <c r="G85" s="216"/>
      <c r="H85" s="216"/>
      <c r="I85" s="131"/>
      <c r="J85" s="217"/>
      <c r="K85" s="217"/>
      <c r="L85" s="217"/>
      <c r="M85" s="217"/>
      <c r="N85" s="215"/>
      <c r="O85" s="215"/>
    </row>
    <row r="86" spans="3:15" ht="15.75" customHeight="1">
      <c r="C86" s="87">
        <v>42425</v>
      </c>
      <c r="D86" s="31">
        <v>3536.9</v>
      </c>
      <c r="F86" s="73"/>
      <c r="G86" s="216"/>
      <c r="H86" s="216"/>
      <c r="I86" s="131"/>
      <c r="J86" s="218"/>
      <c r="K86" s="218"/>
      <c r="L86" s="218"/>
      <c r="M86" s="218"/>
      <c r="N86" s="215"/>
      <c r="O86" s="215"/>
    </row>
    <row r="87" spans="3:13" ht="15.75" customHeight="1">
      <c r="C87" s="87"/>
      <c r="F87" s="73"/>
      <c r="G87" s="222"/>
      <c r="H87" s="222"/>
      <c r="I87" s="139"/>
      <c r="J87" s="217"/>
      <c r="K87" s="217"/>
      <c r="L87" s="217"/>
      <c r="M87" s="217"/>
    </row>
    <row r="88" spans="2:13" ht="18.75" customHeight="1">
      <c r="B88" s="223" t="s">
        <v>57</v>
      </c>
      <c r="C88" s="224"/>
      <c r="D88" s="148">
        <v>505.3</v>
      </c>
      <c r="E88" s="74"/>
      <c r="F88" s="140" t="s">
        <v>137</v>
      </c>
      <c r="G88" s="216"/>
      <c r="H88" s="216"/>
      <c r="I88" s="141"/>
      <c r="J88" s="217"/>
      <c r="K88" s="217"/>
      <c r="L88" s="217"/>
      <c r="M88" s="217"/>
    </row>
    <row r="89" spans="6:12" ht="9.75" customHeight="1">
      <c r="F89" s="73"/>
      <c r="G89" s="216"/>
      <c r="H89" s="216"/>
      <c r="I89" s="73"/>
      <c r="J89" s="74"/>
      <c r="K89" s="74"/>
      <c r="L89" s="74"/>
    </row>
    <row r="90" spans="2:12" ht="22.5" customHeight="1" hidden="1">
      <c r="B90" s="219" t="s">
        <v>60</v>
      </c>
      <c r="C90" s="220"/>
      <c r="D90" s="86">
        <v>0</v>
      </c>
      <c r="E90" s="56" t="s">
        <v>24</v>
      </c>
      <c r="F90" s="73"/>
      <c r="G90" s="216"/>
      <c r="H90" s="21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6"/>
      <c r="O91" s="216"/>
    </row>
    <row r="92" spans="4:15" ht="15">
      <c r="D92" s="83"/>
      <c r="I92" s="31"/>
      <c r="N92" s="221"/>
      <c r="O92" s="221"/>
    </row>
    <row r="93" spans="14:15" ht="15">
      <c r="N93" s="216"/>
      <c r="O93" s="216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71">
      <selection activeCell="C83" sqref="C8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9" t="s">
        <v>114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92"/>
      <c r="R1" s="93"/>
    </row>
    <row r="2" spans="2:18" s="1" customFormat="1" ht="15.75" customHeight="1">
      <c r="B2" s="190"/>
      <c r="C2" s="190"/>
      <c r="D2" s="19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1"/>
      <c r="B3" s="193" t="s">
        <v>135</v>
      </c>
      <c r="C3" s="194" t="s">
        <v>0</v>
      </c>
      <c r="D3" s="195" t="s">
        <v>121</v>
      </c>
      <c r="E3" s="34"/>
      <c r="F3" s="196" t="s">
        <v>26</v>
      </c>
      <c r="G3" s="197"/>
      <c r="H3" s="197"/>
      <c r="I3" s="197"/>
      <c r="J3" s="198"/>
      <c r="K3" s="89"/>
      <c r="L3" s="89"/>
      <c r="M3" s="225" t="s">
        <v>132</v>
      </c>
      <c r="N3" s="202" t="s">
        <v>66</v>
      </c>
      <c r="O3" s="202"/>
      <c r="P3" s="202"/>
      <c r="Q3" s="202"/>
      <c r="R3" s="202"/>
    </row>
    <row r="4" spans="1:18" ht="22.5" customHeight="1">
      <c r="A4" s="191"/>
      <c r="B4" s="193"/>
      <c r="C4" s="194"/>
      <c r="D4" s="195"/>
      <c r="E4" s="203" t="s">
        <v>129</v>
      </c>
      <c r="F4" s="205" t="s">
        <v>34</v>
      </c>
      <c r="G4" s="207" t="s">
        <v>130</v>
      </c>
      <c r="H4" s="200" t="s">
        <v>131</v>
      </c>
      <c r="I4" s="207" t="s">
        <v>122</v>
      </c>
      <c r="J4" s="200" t="s">
        <v>123</v>
      </c>
      <c r="K4" s="91" t="s">
        <v>65</v>
      </c>
      <c r="L4" s="96" t="s">
        <v>64</v>
      </c>
      <c r="M4" s="200"/>
      <c r="N4" s="226" t="s">
        <v>133</v>
      </c>
      <c r="O4" s="207" t="s">
        <v>50</v>
      </c>
      <c r="P4" s="211" t="s">
        <v>49</v>
      </c>
      <c r="Q4" s="97" t="s">
        <v>65</v>
      </c>
      <c r="R4" s="98" t="s">
        <v>64</v>
      </c>
    </row>
    <row r="5" spans="1:18" ht="92.25" customHeight="1">
      <c r="A5" s="192"/>
      <c r="B5" s="193"/>
      <c r="C5" s="194"/>
      <c r="D5" s="195"/>
      <c r="E5" s="204"/>
      <c r="F5" s="206"/>
      <c r="G5" s="208"/>
      <c r="H5" s="201"/>
      <c r="I5" s="208"/>
      <c r="J5" s="201"/>
      <c r="K5" s="212" t="s">
        <v>134</v>
      </c>
      <c r="L5" s="213"/>
      <c r="M5" s="201"/>
      <c r="N5" s="227"/>
      <c r="O5" s="208"/>
      <c r="P5" s="211"/>
      <c r="Q5" s="212" t="s">
        <v>120</v>
      </c>
      <c r="R5" s="2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4"/>
      <c r="H83" s="214"/>
      <c r="I83" s="214"/>
      <c r="J83" s="214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5"/>
      <c r="O84" s="215"/>
    </row>
    <row r="85" spans="3:15" ht="15">
      <c r="C85" s="87">
        <v>42397</v>
      </c>
      <c r="D85" s="31">
        <v>8685</v>
      </c>
      <c r="F85" s="124" t="s">
        <v>59</v>
      </c>
      <c r="G85" s="216"/>
      <c r="H85" s="216"/>
      <c r="I85" s="131"/>
      <c r="J85" s="217"/>
      <c r="K85" s="217"/>
      <c r="L85" s="217"/>
      <c r="M85" s="217"/>
      <c r="N85" s="215"/>
      <c r="O85" s="215"/>
    </row>
    <row r="86" spans="3:15" ht="15.75" customHeight="1">
      <c r="C86" s="87">
        <v>42396</v>
      </c>
      <c r="D86" s="31">
        <v>4820.3</v>
      </c>
      <c r="F86" s="73"/>
      <c r="G86" s="216"/>
      <c r="H86" s="216"/>
      <c r="I86" s="131"/>
      <c r="J86" s="218"/>
      <c r="K86" s="218"/>
      <c r="L86" s="218"/>
      <c r="M86" s="218"/>
      <c r="N86" s="215"/>
      <c r="O86" s="215"/>
    </row>
    <row r="87" spans="3:13" ht="15.75" customHeight="1">
      <c r="C87" s="87"/>
      <c r="F87" s="73"/>
      <c r="G87" s="222"/>
      <c r="H87" s="222"/>
      <c r="I87" s="139"/>
      <c r="J87" s="217"/>
      <c r="K87" s="217"/>
      <c r="L87" s="217"/>
      <c r="M87" s="217"/>
    </row>
    <row r="88" spans="2:13" ht="18.75" customHeight="1">
      <c r="B88" s="223" t="s">
        <v>57</v>
      </c>
      <c r="C88" s="224"/>
      <c r="D88" s="148">
        <v>300.92</v>
      </c>
      <c r="E88" s="74"/>
      <c r="F88" s="140"/>
      <c r="G88" s="216"/>
      <c r="H88" s="216"/>
      <c r="I88" s="141"/>
      <c r="J88" s="217"/>
      <c r="K88" s="217"/>
      <c r="L88" s="217"/>
      <c r="M88" s="217"/>
    </row>
    <row r="89" spans="6:12" ht="9.75" customHeight="1">
      <c r="F89" s="73"/>
      <c r="G89" s="216"/>
      <c r="H89" s="216"/>
      <c r="I89" s="73"/>
      <c r="J89" s="74"/>
      <c r="K89" s="74"/>
      <c r="L89" s="74"/>
    </row>
    <row r="90" spans="2:12" ht="22.5" customHeight="1" hidden="1">
      <c r="B90" s="219" t="s">
        <v>60</v>
      </c>
      <c r="C90" s="220"/>
      <c r="D90" s="86">
        <v>0</v>
      </c>
      <c r="E90" s="56" t="s">
        <v>24</v>
      </c>
      <c r="F90" s="73"/>
      <c r="G90" s="216"/>
      <c r="H90" s="21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6"/>
      <c r="O91" s="216"/>
    </row>
    <row r="92" spans="4:15" ht="15">
      <c r="D92" s="83"/>
      <c r="I92" s="31"/>
      <c r="N92" s="221"/>
      <c r="O92" s="221"/>
    </row>
    <row r="93" spans="14:15" ht="15">
      <c r="N93" s="216"/>
      <c r="O93" s="216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9" t="s">
        <v>114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92"/>
      <c r="R1" s="93"/>
    </row>
    <row r="2" spans="2:18" s="1" customFormat="1" ht="15.75" customHeight="1">
      <c r="B2" s="190"/>
      <c r="C2" s="190"/>
      <c r="D2" s="190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91"/>
      <c r="B3" s="193" t="s">
        <v>136</v>
      </c>
      <c r="C3" s="194" t="s">
        <v>0</v>
      </c>
      <c r="D3" s="195" t="s">
        <v>115</v>
      </c>
      <c r="E3" s="34"/>
      <c r="F3" s="196" t="s">
        <v>26</v>
      </c>
      <c r="G3" s="197"/>
      <c r="H3" s="197"/>
      <c r="I3" s="197"/>
      <c r="J3" s="198"/>
      <c r="K3" s="89"/>
      <c r="L3" s="89"/>
      <c r="M3" s="225" t="s">
        <v>107</v>
      </c>
      <c r="N3" s="202" t="s">
        <v>66</v>
      </c>
      <c r="O3" s="202"/>
      <c r="P3" s="202"/>
      <c r="Q3" s="202"/>
      <c r="R3" s="202"/>
    </row>
    <row r="4" spans="1:18" ht="22.5" customHeight="1">
      <c r="A4" s="191"/>
      <c r="B4" s="193"/>
      <c r="C4" s="194"/>
      <c r="D4" s="195"/>
      <c r="E4" s="203" t="s">
        <v>104</v>
      </c>
      <c r="F4" s="228" t="s">
        <v>34</v>
      </c>
      <c r="G4" s="207" t="s">
        <v>109</v>
      </c>
      <c r="H4" s="200" t="s">
        <v>110</v>
      </c>
      <c r="I4" s="207" t="s">
        <v>105</v>
      </c>
      <c r="J4" s="200" t="s">
        <v>106</v>
      </c>
      <c r="K4" s="91" t="s">
        <v>65</v>
      </c>
      <c r="L4" s="96" t="s">
        <v>64</v>
      </c>
      <c r="M4" s="200"/>
      <c r="N4" s="226" t="s">
        <v>103</v>
      </c>
      <c r="O4" s="207" t="s">
        <v>50</v>
      </c>
      <c r="P4" s="211" t="s">
        <v>49</v>
      </c>
      <c r="Q4" s="97" t="s">
        <v>65</v>
      </c>
      <c r="R4" s="98" t="s">
        <v>64</v>
      </c>
    </row>
    <row r="5" spans="1:18" ht="76.5" customHeight="1">
      <c r="A5" s="192"/>
      <c r="B5" s="193"/>
      <c r="C5" s="194"/>
      <c r="D5" s="195"/>
      <c r="E5" s="204"/>
      <c r="F5" s="229"/>
      <c r="G5" s="208"/>
      <c r="H5" s="201"/>
      <c r="I5" s="208"/>
      <c r="J5" s="201"/>
      <c r="K5" s="212" t="s">
        <v>108</v>
      </c>
      <c r="L5" s="213"/>
      <c r="M5" s="201"/>
      <c r="N5" s="227"/>
      <c r="O5" s="208"/>
      <c r="P5" s="211"/>
      <c r="Q5" s="212" t="s">
        <v>126</v>
      </c>
      <c r="R5" s="21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14"/>
      <c r="H82" s="214"/>
      <c r="I82" s="214"/>
      <c r="J82" s="214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5"/>
      <c r="O83" s="215"/>
    </row>
    <row r="84" spans="3:15" ht="15">
      <c r="C84" s="87">
        <v>42397</v>
      </c>
      <c r="D84" s="31">
        <v>8685</v>
      </c>
      <c r="F84" s="166" t="s">
        <v>59</v>
      </c>
      <c r="G84" s="216"/>
      <c r="H84" s="216"/>
      <c r="I84" s="131"/>
      <c r="J84" s="217"/>
      <c r="K84" s="217"/>
      <c r="L84" s="217"/>
      <c r="M84" s="217"/>
      <c r="N84" s="215"/>
      <c r="O84" s="215"/>
    </row>
    <row r="85" spans="3:15" ht="15.75" customHeight="1">
      <c r="C85" s="87">
        <v>42396</v>
      </c>
      <c r="D85" s="31">
        <v>4820.3</v>
      </c>
      <c r="F85" s="167"/>
      <c r="G85" s="216"/>
      <c r="H85" s="216"/>
      <c r="I85" s="131"/>
      <c r="J85" s="218"/>
      <c r="K85" s="218"/>
      <c r="L85" s="218"/>
      <c r="M85" s="218"/>
      <c r="N85" s="215"/>
      <c r="O85" s="215"/>
    </row>
    <row r="86" spans="3:13" ht="15.75" customHeight="1">
      <c r="C86" s="87"/>
      <c r="F86" s="167"/>
      <c r="G86" s="222"/>
      <c r="H86" s="222"/>
      <c r="I86" s="139"/>
      <c r="J86" s="217"/>
      <c r="K86" s="217"/>
      <c r="L86" s="217"/>
      <c r="M86" s="217"/>
    </row>
    <row r="87" spans="2:13" ht="18.75" customHeight="1">
      <c r="B87" s="223" t="s">
        <v>57</v>
      </c>
      <c r="C87" s="224"/>
      <c r="D87" s="148">
        <v>300.92</v>
      </c>
      <c r="E87" s="74"/>
      <c r="F87" s="168"/>
      <c r="G87" s="216"/>
      <c r="H87" s="216"/>
      <c r="I87" s="141"/>
      <c r="J87" s="217"/>
      <c r="K87" s="217"/>
      <c r="L87" s="217"/>
      <c r="M87" s="217"/>
    </row>
    <row r="88" spans="6:12" ht="9.75" customHeight="1">
      <c r="F88" s="167"/>
      <c r="G88" s="216"/>
      <c r="H88" s="216"/>
      <c r="I88" s="73"/>
      <c r="J88" s="74"/>
      <c r="K88" s="74"/>
      <c r="L88" s="74"/>
    </row>
    <row r="89" spans="2:12" ht="22.5" customHeight="1" hidden="1">
      <c r="B89" s="219" t="s">
        <v>60</v>
      </c>
      <c r="C89" s="220"/>
      <c r="D89" s="86">
        <v>0</v>
      </c>
      <c r="E89" s="56" t="s">
        <v>24</v>
      </c>
      <c r="F89" s="167"/>
      <c r="G89" s="216"/>
      <c r="H89" s="216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6"/>
      <c r="O90" s="216"/>
    </row>
    <row r="91" spans="4:15" ht="15">
      <c r="D91" s="83"/>
      <c r="I91" s="31"/>
      <c r="N91" s="221"/>
      <c r="O91" s="221"/>
    </row>
    <row r="92" spans="14:15" ht="15">
      <c r="N92" s="216"/>
      <c r="O92" s="216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2016-04-07T08:14:03Z</cp:lastPrinted>
  <dcterms:created xsi:type="dcterms:W3CDTF">2003-07-28T11:27:56Z</dcterms:created>
  <dcterms:modified xsi:type="dcterms:W3CDTF">2016-04-07T13:43:59Z</dcterms:modified>
  <cp:category/>
  <cp:version/>
  <cp:contentType/>
  <cp:contentStatus/>
</cp:coreProperties>
</file>